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<sst xmlns="http://schemas.openxmlformats.org/spreadsheetml/2006/main" count="981" uniqueCount="270">
  <si>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</si>
  <si>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</si>
  <si>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</si>
  <si>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</si>
  <si>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</si>
  <si>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</si>
  <si>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</si>
  <si>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</si>
  <si>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</si>
  <si>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</si>
  <si>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</si>
  <si>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</si>
  <si>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</si>
  <si>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</si>
  <si>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</si>
  <si>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</si>
  <si>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</si>
  <si>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</si>
  <si>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</si>
  <si>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</si>
  <si>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</si>
  <si>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</si>
  <si>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</si>
  <si>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</si>
  <si>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</si>
  <si>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</si>
  <si>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</si>
  <si>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</si>
  <si>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</si>
  <si>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</si>
  <si>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</si>
  <si>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</si>
  <si>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</si>
  <si>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</si>
  <si>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</si>
  <si>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</si>
  <si>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</si>
  <si>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</si>
  <si>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</si>
  <si>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</si>
  <si>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</si>
  <si>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</si>
  <si>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</si>
  <si>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</si>
  <si>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</si>
  <si>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</si>
  <si>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</si>
  <si>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</si>
  <si>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</si>
  <si>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</si>
  <si>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</si>
  <si>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</si>
  <si>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</si>
  <si>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</si>
  <si>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</si>
  <si>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</si>
  <si>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</si>
  <si>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</si>
  <si>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</si>
  <si>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</si>
  <si>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</si>
  <si>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</si>
  <si>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</si>
  <si>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</si>
  <si>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</si>
  <si>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</si>
  <si>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</si>
  <si>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</si>
  <si>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</si>
  <si>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</si>
  <si>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</si>
  <si>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</si>
  <si>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</si>
  <si>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</si>
  <si>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</si>
  <si>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</si>
  <si>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</si>
  <si>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</si>
  <si>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</si>
  <si>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</si>
  <si>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</si>
  <si>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</si>
  <si>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</si>
  <si>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</si>
  <si>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</si>
  <si>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</si>
  <si>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</si>
  <si>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</si>
  <si>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</si>
  <si>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</si>
  <si>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</si>
  <si>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</si>
  <si>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</si>
  <si>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</si>
  <si>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</si>
  <si>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</si>
  <si>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</si>
  <si>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</si>
  <si>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</si>
  <si>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</si>
  <si>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</si>
  <si>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</si>
  <si>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</si>
  <si>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</si>
  <si>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</si>
  <si>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</si>
  <si>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</si>
  <si>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</si>
  <si>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</si>
  <si>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</si>
  <si>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</si>
  <si>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</si>
  <si>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</si>
  <si>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</si>
  <si>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</si>
  <si>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</si>
  <si>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</si>
  <si>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</si>
  <si>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</si>
  <si>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</si>
  <si>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</si>
  <si>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</si>
  <si>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</si>
  <si>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</si>
  <si>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</si>
  <si>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</si>
  <si>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</si>
  <si>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</si>
  <si>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</si>
  <si>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</si>
  <si>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</si>
  <si>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</si>
  <si>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</si>
  <si>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</si>
  <si>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</si>
  <si>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</si>
  <si>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</si>
  <si>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</si>
  <si>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</si>
  <si>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</si>
  <si>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</si>
  <si>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</si>
  <si>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</si>
  <si>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</si>
  <si>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</si>
  <si>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</si>
  <si>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</si>
  <si>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</si>
  <si>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</si>
  <si>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</si>
  <si>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</si>
  <si>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</si>
  <si>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</si>
  <si>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</si>
  <si>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</si>
  <si>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</si>
  <si>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</si>
  <si>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</si>
  <si>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</si>
  <si>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</si>
  <si>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</si>
  <si>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</si>
  <si>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</si>
  <si>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</si>
  <si>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</si>
  <si>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</si>
  <si>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</si>
  <si>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</si>
  <si>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</si>
  <si>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</si>
  <si>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</si>
  <si>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</si>
  <si>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</si>
  <si>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</si>
  <si>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</si>
  <si>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</si>
  <si>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</si>
  <si>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</si>
  <si>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</si>
  <si>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</si>
  <si>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</si>
  <si>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</si>
  <si>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</si>
  <si>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</si>
  <si>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</si>
  <si>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</si>
  <si>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</si>
  <si>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</si>
  <si>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</si>
  <si>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</si>
  <si>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</si>
  <si>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</si>
  <si>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</si>
  <si>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</si>
  <si>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</si>
  <si>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</si>
  <si>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</si>
  <si>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</si>
  <si>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</si>
  <si>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</si>
  <si>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</si>
  <si>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</si>
  <si>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</si>
  <si>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</si>
  <si>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</si>
  <si>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</si>
  <si>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</si>
  <si>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</si>
  <si>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</si>
  <si>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</si>
  <si>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</si>
  <si>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</si>
  <si>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</si>
  <si>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</si>
  <si>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</si>
  <si>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</si>
  <si>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</si>
  <si>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</si>
  <si>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</si>
  <si>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</si>
  <si>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</si>
  <si>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</si>
  <si>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</si>
  <si>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</si>
  <si>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</si>
  <si>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</si>
  <si>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</si>
  <si>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</si>
  <si>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</si>
  <si>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</si>
  <si>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</si>
  <si>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</si>
  <si>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</si>
  <si>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</si>
  <si>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</si>
  <si>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</si>
  <si>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</si>
  <si>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</si>
  <si>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</si>
  <si>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</si>
  <si>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</si>
  <si>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</si>
  <si>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</si>
  <si>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</si>
  <si>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</si>
  <si>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</si>
  <si>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</si>
  <si>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</si>
  <si>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</si>
  <si>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</si>
  <si>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</si>
  <si>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</si>
  <si>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</si>
  <si>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</si>
  <si>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</si>
  <si>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</si>
  <si>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</si>
  <si>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</si>
  <si>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</si>
  <si>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</si>
  <si>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</si>
  <si>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</si>
  <si>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</si>
  <si>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</si>
  <si>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</si>
  <si>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</si>
  <si>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</si>
  <si>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</si>
  <si>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</si>
  <si>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06.05.15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</si>
</sst>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90" sqref="I9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268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266</v>
      </c>
      <c r="N3" s="244" t="s">
        <v>267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262</v>
      </c>
      <c r="F4" s="227" t="s">
        <v>116</v>
      </c>
      <c r="G4" s="229" t="s">
        <v>263</v>
      </c>
      <c r="H4" s="231" t="s">
        <v>264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269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203536.75</v>
      </c>
      <c r="G8" s="18">
        <f aca="true" t="shared" si="0" ref="G8:G32">F8-E8</f>
        <v>-19988.949999999983</v>
      </c>
      <c r="H8" s="45">
        <f>F8/E8*100</f>
        <v>91.05742650621383</v>
      </c>
      <c r="I8" s="31">
        <f aca="true" t="shared" si="1" ref="I8:I32">F8-D8</f>
        <v>-313892.25</v>
      </c>
      <c r="J8" s="31">
        <f aca="true" t="shared" si="2" ref="J8:J14">F8/D8*100</f>
        <v>39.33616979334363</v>
      </c>
      <c r="K8" s="18">
        <f>K9+K15+K18+K19+K20+K32</f>
        <v>51891.680000000015</v>
      </c>
      <c r="L8" s="18"/>
      <c r="M8" s="18">
        <f>M9+M15+M18+M19+M20+M32+M17</f>
        <v>46130.770000000004</v>
      </c>
      <c r="N8" s="18">
        <f>N9+N15+N18+N19+N20+N32+N17</f>
        <v>4999.60000000002</v>
      </c>
      <c r="O8" s="31">
        <f aca="true" t="shared" si="3" ref="O8:O32">N8-M8</f>
        <v>-41131.169999999984</v>
      </c>
      <c r="P8" s="31">
        <f>F8/M8*100</f>
        <v>441.21689275943146</v>
      </c>
      <c r="Q8" s="31">
        <f>N8-33748.16</f>
        <v>-28748.559999999983</v>
      </c>
      <c r="R8" s="125">
        <f>N8/33748.16</f>
        <v>0.1481443729080347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114025.41</v>
      </c>
      <c r="G9" s="43">
        <f t="shared" si="0"/>
        <v>-13787.23999999999</v>
      </c>
      <c r="H9" s="35">
        <f aca="true" t="shared" si="4" ref="H9:H32">F9/E9*100</f>
        <v>89.21293001905524</v>
      </c>
      <c r="I9" s="50">
        <f t="shared" si="1"/>
        <v>-198664.59</v>
      </c>
      <c r="J9" s="50">
        <f t="shared" si="2"/>
        <v>36.465959896383</v>
      </c>
      <c r="K9" s="132">
        <f>F9-117120.15/75*60</f>
        <v>20329.290000000008</v>
      </c>
      <c r="L9" s="132">
        <f>F9/(117120.15/75*60)*100</f>
        <v>121.69704572611973</v>
      </c>
      <c r="M9" s="35">
        <f>E9-квітень!E10</f>
        <v>26164.67</v>
      </c>
      <c r="N9" s="35">
        <f>F9-квітень!F10</f>
        <v>3259.7600000000093</v>
      </c>
      <c r="O9" s="47">
        <f t="shared" si="3"/>
        <v>-22904.90999999999</v>
      </c>
      <c r="P9" s="50">
        <f aca="true" t="shared" si="5" ref="P9:P32">N9/M9*100</f>
        <v>12.458632193717749</v>
      </c>
      <c r="Q9" s="132">
        <f>N9-26568.11</f>
        <v>-23308.34999999999</v>
      </c>
      <c r="R9" s="133">
        <f>N9/26568.11</f>
        <v>0.12269446339991852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101166.6</v>
      </c>
      <c r="G10" s="135">
        <f t="shared" si="0"/>
        <v>-11455.649999999994</v>
      </c>
      <c r="H10" s="137">
        <f t="shared" si="4"/>
        <v>89.82825329808276</v>
      </c>
      <c r="I10" s="136">
        <f t="shared" si="1"/>
        <v>-139243.4</v>
      </c>
      <c r="J10" s="136">
        <f t="shared" si="2"/>
        <v>42.08086186098748</v>
      </c>
      <c r="K10" s="136">
        <f>F10-106961.61/75*60</f>
        <v>15597.312000000005</v>
      </c>
      <c r="L10" s="136">
        <f>F10/(106961.61/75*60)*100</f>
        <v>118.22769870423603</v>
      </c>
      <c r="M10" s="137">
        <f>E10-квітень!E11</f>
        <v>23050.67</v>
      </c>
      <c r="N10" s="137">
        <f>F10-квітень!F11</f>
        <v>2815.290000000008</v>
      </c>
      <c r="O10" s="138">
        <f t="shared" si="3"/>
        <v>-20235.37999999999</v>
      </c>
      <c r="P10" s="136">
        <f t="shared" si="5"/>
        <v>12.213484467045896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6304.89</v>
      </c>
      <c r="G11" s="135">
        <f t="shared" si="0"/>
        <v>-2653.1099999999997</v>
      </c>
      <c r="H11" s="137">
        <f t="shared" si="4"/>
        <v>70.38278633623577</v>
      </c>
      <c r="I11" s="136">
        <f t="shared" si="1"/>
        <v>-17395.11</v>
      </c>
      <c r="J11" s="136">
        <f t="shared" si="2"/>
        <v>26.602911392405066</v>
      </c>
      <c r="K11" s="136">
        <f>F11-6905.65/75*60</f>
        <v>780.3699999999999</v>
      </c>
      <c r="L11" s="136">
        <f>F11/(6905.65/75*60)*100</f>
        <v>114.12557109033908</v>
      </c>
      <c r="M11" s="137">
        <f>E11-квітень!E12</f>
        <v>2010</v>
      </c>
      <c r="N11" s="137">
        <f>F11-квітень!F12</f>
        <v>3.430000000000291</v>
      </c>
      <c r="O11" s="138">
        <f t="shared" si="3"/>
        <v>-2006.5699999999997</v>
      </c>
      <c r="P11" s="136">
        <f t="shared" si="5"/>
        <v>0.1706467661691687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1792.52</v>
      </c>
      <c r="G12" s="135">
        <f t="shared" si="0"/>
        <v>-376.48</v>
      </c>
      <c r="H12" s="137">
        <f t="shared" si="4"/>
        <v>82.64269248501613</v>
      </c>
      <c r="I12" s="136">
        <f t="shared" si="1"/>
        <v>-4007.48</v>
      </c>
      <c r="J12" s="136">
        <f t="shared" si="2"/>
        <v>30.90551724137931</v>
      </c>
      <c r="K12" s="136">
        <f>F12-1478.58/75*60</f>
        <v>609.6560000000002</v>
      </c>
      <c r="L12" s="136">
        <f>F12/(1478.58/75*60)*100</f>
        <v>151.54066739709725</v>
      </c>
      <c r="M12" s="137">
        <f>E12-квітень!E13</f>
        <v>450</v>
      </c>
      <c r="N12" s="137">
        <f>F12-квітень!F13</f>
        <v>74.27999999999997</v>
      </c>
      <c r="O12" s="138">
        <f t="shared" si="3"/>
        <v>-375.72</v>
      </c>
      <c r="P12" s="136">
        <f t="shared" si="5"/>
        <v>16.50666666666666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1768.44</v>
      </c>
      <c r="G13" s="135">
        <f t="shared" si="0"/>
        <v>-650.96</v>
      </c>
      <c r="H13" s="137">
        <f t="shared" si="4"/>
        <v>73.09415557576258</v>
      </c>
      <c r="I13" s="136">
        <f t="shared" si="1"/>
        <v>-6631.5599999999995</v>
      </c>
      <c r="J13" s="136">
        <f t="shared" si="2"/>
        <v>21.052857142857142</v>
      </c>
      <c r="K13" s="136">
        <f>F13-1774.3/75*60</f>
        <v>349</v>
      </c>
      <c r="L13" s="136">
        <f>F13/(1774.3/75*60)*100</f>
        <v>124.58716113396832</v>
      </c>
      <c r="M13" s="137">
        <f>E13-квітень!E14</f>
        <v>264</v>
      </c>
      <c r="N13" s="137">
        <f>F13-квітень!F14</f>
        <v>105.67000000000007</v>
      </c>
      <c r="O13" s="138">
        <f t="shared" si="3"/>
        <v>-158.32999999999993</v>
      </c>
      <c r="P13" s="136">
        <f t="shared" si="5"/>
        <v>40.02651515151518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2992.96</v>
      </c>
      <c r="G14" s="135">
        <f t="shared" si="0"/>
        <v>1348.96</v>
      </c>
      <c r="H14" s="137">
        <f t="shared" si="4"/>
        <v>182.05352798053528</v>
      </c>
      <c r="I14" s="136">
        <f t="shared" si="1"/>
        <v>-1387.04</v>
      </c>
      <c r="J14" s="136">
        <f t="shared" si="2"/>
        <v>68.3324200913242</v>
      </c>
      <c r="K14" s="136">
        <f>F14-0</f>
        <v>2992.96</v>
      </c>
      <c r="L14" s="136"/>
      <c r="M14" s="137">
        <f>E14-квітень!E15</f>
        <v>390</v>
      </c>
      <c r="N14" s="137">
        <f>F14-квітень!F15</f>
        <v>261.09000000000015</v>
      </c>
      <c r="O14" s="138">
        <f t="shared" si="3"/>
        <v>-128.90999999999985</v>
      </c>
      <c r="P14" s="136">
        <f t="shared" si="5"/>
        <v>66.94615384615389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-909.76</v>
      </c>
      <c r="G15" s="43">
        <f t="shared" si="0"/>
        <v>-1080.96</v>
      </c>
      <c r="H15" s="35"/>
      <c r="I15" s="50">
        <f t="shared" si="1"/>
        <v>-1409.76</v>
      </c>
      <c r="J15" s="50">
        <f>F15/D15*100</f>
        <v>-181.952</v>
      </c>
      <c r="K15" s="50">
        <f>F15-552.92</f>
        <v>-1462.6799999999998</v>
      </c>
      <c r="L15" s="50">
        <f>F15/552.92*100</f>
        <v>-164.53736526079723</v>
      </c>
      <c r="M15" s="35">
        <f>E15-квітень!E19</f>
        <v>0</v>
      </c>
      <c r="N15" s="35">
        <f>F15-квітень!F19</f>
        <v>0.4900000000000091</v>
      </c>
      <c r="O15" s="47">
        <f t="shared" si="3"/>
        <v>0.4900000000000091</v>
      </c>
      <c r="P15" s="50"/>
      <c r="Q15" s="50">
        <f>N15-358.81</f>
        <v>-358.32</v>
      </c>
      <c r="R15" s="126">
        <f>N15/358.81</f>
        <v>0.0013656252612803687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-1372.45</v>
      </c>
      <c r="G16" s="135">
        <f t="shared" si="0"/>
        <v>-1372.45</v>
      </c>
      <c r="H16" s="137"/>
      <c r="I16" s="136">
        <f t="shared" si="1"/>
        <v>-1372.45</v>
      </c>
      <c r="J16" s="136"/>
      <c r="K16" s="136">
        <f>F16-783.18</f>
        <v>-2155.63</v>
      </c>
      <c r="L16" s="136">
        <f>F16/783.18*100</f>
        <v>-175.24068541076127</v>
      </c>
      <c r="M16" s="35">
        <f>E16-квітень!E29</f>
        <v>0</v>
      </c>
      <c r="N16" s="35">
        <f>F16-квітень!F29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135">
        <v>0</v>
      </c>
      <c r="E17" s="135">
        <v>0</v>
      </c>
      <c r="F17" s="144">
        <v>0.09</v>
      </c>
      <c r="G17" s="135"/>
      <c r="H17" s="137"/>
      <c r="I17" s="136"/>
      <c r="J17" s="136"/>
      <c r="K17" s="136">
        <f>F17-783.18</f>
        <v>-783.0899999999999</v>
      </c>
      <c r="L17" s="136">
        <f>F17/783.18*100</f>
        <v>0.011491611123879567</v>
      </c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0">
        <f>F18-2.91</f>
        <v>12.89</v>
      </c>
      <c r="L18" s="136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16378.71</v>
      </c>
      <c r="G19" s="43">
        <f t="shared" si="0"/>
        <v>595.9599999999991</v>
      </c>
      <c r="H19" s="35">
        <f t="shared" si="4"/>
        <v>103.77602128906558</v>
      </c>
      <c r="I19" s="50">
        <f t="shared" si="1"/>
        <v>-13571.29</v>
      </c>
      <c r="J19" s="178">
        <f>F19/D19*100</f>
        <v>54.68684474123538</v>
      </c>
      <c r="K19" s="179">
        <f>F19-0</f>
        <v>16378.71</v>
      </c>
      <c r="L19" s="180"/>
      <c r="M19" s="35">
        <f>E19-квітень!E34</f>
        <v>3120</v>
      </c>
      <c r="N19" s="35">
        <f>F19-квітень!F34</f>
        <v>21.089999999998327</v>
      </c>
      <c r="O19" s="47">
        <f t="shared" si="3"/>
        <v>-3098.9100000000017</v>
      </c>
      <c r="P19" s="50">
        <f t="shared" si="5"/>
        <v>0.6759615384614848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72005.42000000001</v>
      </c>
      <c r="G20" s="43">
        <f t="shared" si="0"/>
        <v>-3746.179999999993</v>
      </c>
      <c r="H20" s="35">
        <f t="shared" si="4"/>
        <v>95.05465231097429</v>
      </c>
      <c r="I20" s="50">
        <f t="shared" si="1"/>
        <v>-94764.57999999999</v>
      </c>
      <c r="J20" s="178">
        <f aca="true" t="shared" si="6" ref="J20:J32">F20/D20*100</f>
        <v>43.17648258079991</v>
      </c>
      <c r="K20" s="178">
        <f>K21+K25+K26+K27</f>
        <v>17230.820000000007</v>
      </c>
      <c r="L20" s="136"/>
      <c r="M20" s="35">
        <f>E20-квітень!E35</f>
        <v>14846.100000000006</v>
      </c>
      <c r="N20" s="35">
        <f>F20-квітень!F35</f>
        <v>1711.2800000000134</v>
      </c>
      <c r="O20" s="47">
        <f t="shared" si="3"/>
        <v>-13134.819999999992</v>
      </c>
      <c r="P20" s="50">
        <f t="shared" si="5"/>
        <v>11.52679828372443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37752.98</v>
      </c>
      <c r="G21" s="43">
        <f t="shared" si="0"/>
        <v>-2161.1199999999953</v>
      </c>
      <c r="H21" s="35">
        <f t="shared" si="4"/>
        <v>94.58557251698024</v>
      </c>
      <c r="I21" s="50">
        <f t="shared" si="1"/>
        <v>-60447.02</v>
      </c>
      <c r="J21" s="178">
        <f t="shared" si="6"/>
        <v>38.44498981670061</v>
      </c>
      <c r="K21" s="178">
        <f>K22+K23+K24</f>
        <v>11707.700000000004</v>
      </c>
      <c r="L21" s="136"/>
      <c r="M21" s="35">
        <f>E21-квітень!E36</f>
        <v>8061.0999999999985</v>
      </c>
      <c r="N21" s="35">
        <f>F21-квітень!F36</f>
        <v>469.08000000000175</v>
      </c>
      <c r="O21" s="47">
        <f t="shared" si="3"/>
        <v>-7592.019999999997</v>
      </c>
      <c r="P21" s="50">
        <f t="shared" si="5"/>
        <v>5.819056952525113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4268.32</v>
      </c>
      <c r="G22" s="135">
        <f t="shared" si="0"/>
        <v>3992.22</v>
      </c>
      <c r="H22" s="137">
        <f t="shared" si="4"/>
        <v>1545.9326331039476</v>
      </c>
      <c r="I22" s="136">
        <f t="shared" si="1"/>
        <v>3268.3199999999997</v>
      </c>
      <c r="J22" s="136">
        <f t="shared" si="6"/>
        <v>426.832</v>
      </c>
      <c r="K22" s="136">
        <f>F22-127.86</f>
        <v>4140.46</v>
      </c>
      <c r="L22" s="136">
        <f>F22/127.86*100</f>
        <v>3338.2762396371027</v>
      </c>
      <c r="M22" s="137">
        <f>E22-квітень!E37</f>
        <v>5.100000000000023</v>
      </c>
      <c r="N22" s="137">
        <f>F22-квітень!F37</f>
        <v>49.25</v>
      </c>
      <c r="O22" s="138">
        <f t="shared" si="3"/>
        <v>44.14999999999998</v>
      </c>
      <c r="P22" s="136">
        <f t="shared" si="5"/>
        <v>965.6862745097997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141.72</v>
      </c>
      <c r="G23" s="135">
        <f t="shared" si="0"/>
        <v>-108.28</v>
      </c>
      <c r="H23" s="137"/>
      <c r="I23" s="136">
        <f t="shared" si="1"/>
        <v>-1358.28</v>
      </c>
      <c r="J23" s="136">
        <f t="shared" si="6"/>
        <v>9.447999999999999</v>
      </c>
      <c r="K23" s="136">
        <f>F23-0</f>
        <v>141.72</v>
      </c>
      <c r="L23" s="136"/>
      <c r="M23" s="137">
        <f>E23-квітень!E38</f>
        <v>0</v>
      </c>
      <c r="N23" s="137">
        <f>F23-квітень!F38</f>
        <v>0</v>
      </c>
      <c r="O23" s="138">
        <f t="shared" si="3"/>
        <v>0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33342.94</v>
      </c>
      <c r="G24" s="135">
        <f t="shared" si="0"/>
        <v>-6045.059999999998</v>
      </c>
      <c r="H24" s="137">
        <f t="shared" si="4"/>
        <v>84.65253376662943</v>
      </c>
      <c r="I24" s="136">
        <f t="shared" si="1"/>
        <v>-62357.06</v>
      </c>
      <c r="J24" s="136">
        <f t="shared" si="6"/>
        <v>34.84110762800418</v>
      </c>
      <c r="K24" s="139">
        <f>F24-25917.42</f>
        <v>7425.520000000004</v>
      </c>
      <c r="L24" s="139">
        <f>F24/25917.42*100</f>
        <v>128.65069131109504</v>
      </c>
      <c r="M24" s="137">
        <f>E24-квітень!E39</f>
        <v>8056</v>
      </c>
      <c r="N24" s="137">
        <f>F24-квітень!F39</f>
        <v>419.83000000000175</v>
      </c>
      <c r="O24" s="138">
        <f t="shared" si="3"/>
        <v>-7636.169999999998</v>
      </c>
      <c r="P24" s="136">
        <f t="shared" si="5"/>
        <v>5.211395233366456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23.16</v>
      </c>
      <c r="G25" s="43">
        <f t="shared" si="0"/>
        <v>5.66</v>
      </c>
      <c r="H25" s="35">
        <f t="shared" si="4"/>
        <v>132.34285714285713</v>
      </c>
      <c r="I25" s="50">
        <f t="shared" si="1"/>
        <v>-46.84</v>
      </c>
      <c r="J25" s="178">
        <f t="shared" si="6"/>
        <v>33.08571428571428</v>
      </c>
      <c r="K25" s="178">
        <f>F25-22.12</f>
        <v>1.0399999999999991</v>
      </c>
      <c r="L25" s="178">
        <f>F25/22.12*100</f>
        <v>104.70162748643762</v>
      </c>
      <c r="M25" s="35">
        <f>E25-квітень!E40</f>
        <v>5</v>
      </c>
      <c r="N25" s="35">
        <f>F25-квітень!F40</f>
        <v>0</v>
      </c>
      <c r="O25" s="47">
        <f t="shared" si="3"/>
        <v>-5</v>
      </c>
      <c r="P25" s="50">
        <f t="shared" si="5"/>
        <v>0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-58.72</v>
      </c>
      <c r="G26" s="43">
        <f t="shared" si="0"/>
        <v>-58.72</v>
      </c>
      <c r="H26" s="35"/>
      <c r="I26" s="50">
        <f t="shared" si="1"/>
        <v>-58.72</v>
      </c>
      <c r="J26" s="136"/>
      <c r="K26" s="178">
        <f>F26-2145.36</f>
        <v>-2204.08</v>
      </c>
      <c r="L26" s="178">
        <f>F26/2145.36*100</f>
        <v>-2.7370697691762684</v>
      </c>
      <c r="M26" s="35">
        <f>E26-квітень!E41</f>
        <v>0</v>
      </c>
      <c r="N26" s="35">
        <f>F26-квітень!F41</f>
        <v>0.5200000000000031</v>
      </c>
      <c r="O26" s="47">
        <f t="shared" si="3"/>
        <v>0.5200000000000031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34288</v>
      </c>
      <c r="G27" s="43">
        <f t="shared" si="0"/>
        <v>-1532</v>
      </c>
      <c r="H27" s="35">
        <f t="shared" si="4"/>
        <v>95.72305974316025</v>
      </c>
      <c r="I27" s="50">
        <f t="shared" si="1"/>
        <v>-34212</v>
      </c>
      <c r="J27" s="178">
        <f t="shared" si="6"/>
        <v>50.05547445255475</v>
      </c>
      <c r="K27" s="132">
        <f>F27-26561.84</f>
        <v>7726.16</v>
      </c>
      <c r="L27" s="132">
        <f>F27/26561.84*100</f>
        <v>129.08744273740072</v>
      </c>
      <c r="M27" s="35">
        <f>E27-квітень!E42</f>
        <v>6780</v>
      </c>
      <c r="N27" s="35">
        <f>F27-квітень!F42</f>
        <v>1241.6800000000003</v>
      </c>
      <c r="O27" s="47">
        <f t="shared" si="3"/>
        <v>-5538.32</v>
      </c>
      <c r="P27" s="50">
        <f t="shared" si="5"/>
        <v>18.313864306784666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-1.22</v>
      </c>
      <c r="G28" s="135">
        <f t="shared" si="0"/>
        <v>-1.22</v>
      </c>
      <c r="H28" s="137"/>
      <c r="I28" s="136">
        <f t="shared" si="1"/>
        <v>-1.22</v>
      </c>
      <c r="J28" s="136" t="e">
        <f t="shared" si="6"/>
        <v>#DIV/0!</v>
      </c>
      <c r="K28" s="139">
        <f>F28-0.29</f>
        <v>-1.51</v>
      </c>
      <c r="L28" s="139">
        <f>F28/0.29*100</f>
        <v>-420.6896551724138</v>
      </c>
      <c r="M28" s="137">
        <f>E28-квітень!E43</f>
        <v>0</v>
      </c>
      <c r="N28" s="137">
        <f>F28-квітень!F43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8884.17</v>
      </c>
      <c r="G29" s="135">
        <f t="shared" si="0"/>
        <v>-255.82999999999993</v>
      </c>
      <c r="H29" s="137"/>
      <c r="I29" s="136">
        <f t="shared" si="1"/>
        <v>-7615.83</v>
      </c>
      <c r="J29" s="136">
        <f t="shared" si="6"/>
        <v>53.84345454545455</v>
      </c>
      <c r="K29" s="139">
        <f>F29-6631.94</f>
        <v>2252.2300000000005</v>
      </c>
      <c r="L29" s="139">
        <f>F29/6631.94*100</f>
        <v>133.96034946033893</v>
      </c>
      <c r="M29" s="137">
        <f>E29-квітень!E44</f>
        <v>2500</v>
      </c>
      <c r="N29" s="137">
        <f>F29-квітень!F44</f>
        <v>701.7600000000002</v>
      </c>
      <c r="O29" s="138">
        <f t="shared" si="3"/>
        <v>-1798.2399999999998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25399.29</v>
      </c>
      <c r="G30" s="135">
        <f t="shared" si="0"/>
        <v>-1280.7099999999991</v>
      </c>
      <c r="H30" s="137"/>
      <c r="I30" s="136">
        <f t="shared" si="1"/>
        <v>-26600.71</v>
      </c>
      <c r="J30" s="136">
        <f t="shared" si="6"/>
        <v>48.844788461538464</v>
      </c>
      <c r="K30" s="139">
        <f>F30-19929.61</f>
        <v>5469.68</v>
      </c>
      <c r="L30" s="139">
        <f>F30/19929.61*100</f>
        <v>127.44499265163745</v>
      </c>
      <c r="M30" s="137">
        <f>E30-квітень!E45</f>
        <v>4280</v>
      </c>
      <c r="N30" s="137">
        <f>F30-квітень!F45</f>
        <v>539.9300000000003</v>
      </c>
      <c r="O30" s="138">
        <f t="shared" si="3"/>
        <v>-3740.0699999999997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5.75</v>
      </c>
      <c r="G31" s="135">
        <f t="shared" si="0"/>
        <v>5.75</v>
      </c>
      <c r="H31" s="137"/>
      <c r="I31" s="136">
        <f t="shared" si="1"/>
        <v>5.75</v>
      </c>
      <c r="J31" s="136" t="e">
        <f t="shared" si="6"/>
        <v>#DIV/0!</v>
      </c>
      <c r="K31" s="139">
        <f>F31-0</f>
        <v>5.75</v>
      </c>
      <c r="L31" s="139"/>
      <c r="M31" s="137">
        <f>E31-квітень!E46</f>
        <v>0</v>
      </c>
      <c r="N31" s="137">
        <f>F31-квітень!F46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2021.08</v>
      </c>
      <c r="G32" s="43">
        <f t="shared" si="0"/>
        <v>-1973.42</v>
      </c>
      <c r="H32" s="35">
        <f t="shared" si="4"/>
        <v>50.5965702841407</v>
      </c>
      <c r="I32" s="50">
        <f t="shared" si="1"/>
        <v>-5478.92</v>
      </c>
      <c r="J32" s="136">
        <f t="shared" si="6"/>
        <v>26.947733333333336</v>
      </c>
      <c r="K32" s="178">
        <f>F32-2618.43</f>
        <v>-597.3499999999999</v>
      </c>
      <c r="L32" s="178">
        <f>F32/2618.43*100</f>
        <v>77.18671112078613</v>
      </c>
      <c r="M32" s="35">
        <f>E32-квітень!E47</f>
        <v>2000</v>
      </c>
      <c r="N32" s="35">
        <f>F32-квітень!F47</f>
        <v>6.980000000000018</v>
      </c>
      <c r="O32" s="47">
        <f t="shared" si="3"/>
        <v>-1993.02</v>
      </c>
      <c r="P32" s="50">
        <f t="shared" si="5"/>
        <v>0.3490000000000009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11411.7</v>
      </c>
      <c r="G33" s="44">
        <f aca="true" t="shared" si="7" ref="G33:G54">F33-E33</f>
        <v>6248.700000000001</v>
      </c>
      <c r="H33" s="45">
        <f>F33/E33*100</f>
        <v>221.02847181871005</v>
      </c>
      <c r="I33" s="31">
        <f aca="true" t="shared" si="8" ref="I33:I54">F33-D33</f>
        <v>-1155.3999999999996</v>
      </c>
      <c r="J33" s="31">
        <f>F33/D33*100</f>
        <v>90.80615257298821</v>
      </c>
      <c r="K33" s="18">
        <f>K34+K35+K36+K37+K38+K41+K42+K47+K48+K52+K40</f>
        <v>7223.879999999999</v>
      </c>
      <c r="L33" s="18"/>
      <c r="M33" s="18">
        <f>M34+M35+M36+M37+M38+M41+M42+M47+M48+M52+M40+M39</f>
        <v>1074.5</v>
      </c>
      <c r="N33" s="18">
        <f>N34+N35+N36+N37+N38+N41+N42+N47+N48+N52+N40+N39</f>
        <v>978.1</v>
      </c>
      <c r="O33" s="49">
        <f aca="true" t="shared" si="9" ref="O33:O54">N33-M33</f>
        <v>-96.39999999999998</v>
      </c>
      <c r="P33" s="31">
        <f>N33/M33*100</f>
        <v>91.02838529548627</v>
      </c>
      <c r="Q33" s="31">
        <f>N33-1017.63</f>
        <v>-39.52999999999997</v>
      </c>
      <c r="R33" s="127">
        <f>N33/1017.63</f>
        <v>0.961154840167841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86.69</v>
      </c>
      <c r="G34" s="43">
        <f t="shared" si="7"/>
        <v>1.6899999999999977</v>
      </c>
      <c r="H34" s="35">
        <f>F34/E34*100</f>
        <v>101.98823529411764</v>
      </c>
      <c r="I34" s="50">
        <f t="shared" si="8"/>
        <v>-113.31</v>
      </c>
      <c r="J34" s="50">
        <f>F34/D34*100</f>
        <v>43.345</v>
      </c>
      <c r="K34" s="50">
        <f>F34-21.87</f>
        <v>64.82</v>
      </c>
      <c r="L34" s="50">
        <f>F34/21.87*100</f>
        <v>396.3877457704618</v>
      </c>
      <c r="M34" s="35">
        <f>E34-квітень!E56</f>
        <v>40</v>
      </c>
      <c r="N34" s="35">
        <f>F34-квітень!F56</f>
        <v>2.7099999999999937</v>
      </c>
      <c r="O34" s="47">
        <f t="shared" si="9"/>
        <v>-37.290000000000006</v>
      </c>
      <c r="P34" s="50">
        <f>N34/M34*100</f>
        <v>6.7749999999999835</v>
      </c>
      <c r="Q34" s="50">
        <f>N34-0</f>
        <v>2.7099999999999937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9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18.24</v>
      </c>
      <c r="G36" s="43">
        <f t="shared" si="7"/>
        <v>18.24</v>
      </c>
      <c r="H36" s="35"/>
      <c r="I36" s="50">
        <f t="shared" si="8"/>
        <v>18.24</v>
      </c>
      <c r="J36" s="50"/>
      <c r="K36" s="50">
        <f>F36-212.16</f>
        <v>-193.92</v>
      </c>
      <c r="L36" s="50">
        <f>F36/212.16*100</f>
        <v>8.597285067873303</v>
      </c>
      <c r="M36" s="35">
        <f>E36-квітень!E58</f>
        <v>0</v>
      </c>
      <c r="N36" s="35">
        <f>F36-квітень!F58</f>
        <v>0</v>
      </c>
      <c r="O36" s="47">
        <f t="shared" si="9"/>
        <v>0</v>
      </c>
      <c r="P36" s="50"/>
      <c r="Q36" s="50">
        <f>N36-4.23</f>
        <v>-4.23</v>
      </c>
      <c r="R36" s="126">
        <f>N36/4.23</f>
        <v>0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>F37/D37*100</f>
        <v>0</v>
      </c>
      <c r="K37" s="50">
        <f>F37-4.08</f>
        <v>-4.08</v>
      </c>
      <c r="L37" s="50">
        <f>F37/4.08*100</f>
        <v>0</v>
      </c>
      <c r="M37" s="35">
        <f>E37-квітень!E59</f>
        <v>0.5</v>
      </c>
      <c r="N37" s="35">
        <f>F37-квітень!F59</f>
        <v>0</v>
      </c>
      <c r="O37" s="47">
        <f t="shared" si="9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41.38</v>
      </c>
      <c r="G38" s="43">
        <f t="shared" si="7"/>
        <v>-9.619999999999997</v>
      </c>
      <c r="H38" s="35">
        <f>F38/E38*100</f>
        <v>81.13725490196079</v>
      </c>
      <c r="I38" s="50">
        <f t="shared" si="8"/>
        <v>-98.62</v>
      </c>
      <c r="J38" s="50">
        <v>10</v>
      </c>
      <c r="K38" s="50">
        <f>F38-34.44</f>
        <v>6.940000000000005</v>
      </c>
      <c r="L38" s="50">
        <f>F38/34.44*100</f>
        <v>120.15098722415797</v>
      </c>
      <c r="M38" s="35">
        <f>E38-квітень!E60</f>
        <v>14</v>
      </c>
      <c r="N38" s="35">
        <f>F38-квітень!F60</f>
        <v>0.13000000000000256</v>
      </c>
      <c r="O38" s="47">
        <f t="shared" si="9"/>
        <v>-13.869999999999997</v>
      </c>
      <c r="P38" s="50">
        <f>N38/M38*100</f>
        <v>0.9285714285714468</v>
      </c>
      <c r="Q38" s="50">
        <f>N38-9.02</f>
        <v>-8.889999999999997</v>
      </c>
      <c r="R38" s="126">
        <f>N38/9.02</f>
        <v>0.014412416851441526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1.5</v>
      </c>
      <c r="G39" s="43"/>
      <c r="H39" s="35"/>
      <c r="I39" s="50">
        <f>F39-D39</f>
        <v>1.5</v>
      </c>
      <c r="J39" s="50"/>
      <c r="K39" s="50">
        <f>F39-0</f>
        <v>1.5</v>
      </c>
      <c r="L39" s="50"/>
      <c r="M39" s="35">
        <f>E39-квітень!E66</f>
        <v>0</v>
      </c>
      <c r="N39" s="35">
        <f>F39-квітень!F66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3438.61</v>
      </c>
      <c r="G40" s="43"/>
      <c r="H40" s="35"/>
      <c r="I40" s="50">
        <f t="shared" si="8"/>
        <v>3438.61</v>
      </c>
      <c r="J40" s="50"/>
      <c r="K40" s="50">
        <f>F40-0</f>
        <v>3438.61</v>
      </c>
      <c r="L40" s="50"/>
      <c r="M40" s="35">
        <f>E40-квітень!E67</f>
        <v>0</v>
      </c>
      <c r="N40" s="35">
        <f>F40-квітень!F67</f>
        <v>90.57999999999993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</v>
      </c>
      <c r="G41" s="43">
        <f t="shared" si="7"/>
        <v>433.0999999999999</v>
      </c>
      <c r="H41" s="35">
        <f>F41/E41*100</f>
        <v>114.58249158249158</v>
      </c>
      <c r="I41" s="50">
        <f t="shared" si="8"/>
        <v>-3496.9</v>
      </c>
      <c r="J41" s="50">
        <v>550</v>
      </c>
      <c r="K41" s="50">
        <f>F41-2382.53</f>
        <v>1020.5699999999997</v>
      </c>
      <c r="L41" s="50">
        <f>F41/2382.53*100</f>
        <v>142.83555715982587</v>
      </c>
      <c r="M41" s="35">
        <f>E41-квітень!E68</f>
        <v>550</v>
      </c>
      <c r="N41" s="35">
        <f>F41-квітень!F68</f>
        <v>729.3600000000001</v>
      </c>
      <c r="O41" s="47">
        <f t="shared" si="9"/>
        <v>179.36000000000013</v>
      </c>
      <c r="P41" s="50">
        <f>N41/M41*100</f>
        <v>132.6109090909091</v>
      </c>
      <c r="Q41" s="50">
        <f>N41-647.49</f>
        <v>81.87000000000012</v>
      </c>
      <c r="R41" s="126">
        <f>N41/647.49</f>
        <v>1.1264421072140112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2897.7</v>
      </c>
      <c r="G42" s="43">
        <f t="shared" si="7"/>
        <v>2517.7</v>
      </c>
      <c r="H42" s="35">
        <f>F42/E42*100</f>
        <v>762.5526315789474</v>
      </c>
      <c r="I42" s="50">
        <f t="shared" si="8"/>
        <v>1797.6999999999998</v>
      </c>
      <c r="J42" s="50">
        <v>90</v>
      </c>
      <c r="K42" s="50">
        <f>F42-279.59</f>
        <v>2618.1099999999997</v>
      </c>
      <c r="L42" s="50">
        <f>F42/279.59*100</f>
        <v>1036.4104581708932</v>
      </c>
      <c r="M42" s="35">
        <f>E42-квітень!E69</f>
        <v>70</v>
      </c>
      <c r="N42" s="35">
        <f>F42-квітень!F69</f>
        <v>66.59999999999991</v>
      </c>
      <c r="O42" s="47">
        <f t="shared" si="9"/>
        <v>-3.400000000000091</v>
      </c>
      <c r="P42" s="50">
        <f>N42/M42*100</f>
        <v>95.14285714285703</v>
      </c>
      <c r="Q42" s="50">
        <f>N42-79.51</f>
        <v>-12.910000000000096</v>
      </c>
      <c r="R42" s="126">
        <f>N42/79.51</f>
        <v>0.8376304867312275</v>
      </c>
    </row>
    <row r="43" spans="1:18" s="6" customFormat="1" ht="15.75" hidden="1">
      <c r="A43" s="8"/>
      <c r="B43" s="15"/>
      <c r="C43" s="207">
        <v>22090100</v>
      </c>
      <c r="D43" s="36"/>
      <c r="E43" s="36"/>
      <c r="F43" s="143"/>
      <c r="G43" s="43"/>
      <c r="H43" s="35"/>
      <c r="I43" s="50"/>
      <c r="J43" s="50"/>
      <c r="K43" s="50"/>
      <c r="L43" s="50"/>
      <c r="M43" s="35"/>
      <c r="N43" s="35"/>
      <c r="O43" s="47"/>
      <c r="P43" s="50"/>
      <c r="Q43" s="50"/>
      <c r="R43" s="126"/>
    </row>
    <row r="44" spans="1:18" s="6" customFormat="1" ht="15.75" hidden="1">
      <c r="A44" s="8"/>
      <c r="B44" s="15"/>
      <c r="C44" s="207"/>
      <c r="D44" s="36"/>
      <c r="E44" s="36"/>
      <c r="F44" s="143"/>
      <c r="G44" s="43"/>
      <c r="H44" s="35"/>
      <c r="I44" s="50"/>
      <c r="J44" s="50"/>
      <c r="K44" s="50"/>
      <c r="L44" s="50"/>
      <c r="M44" s="35"/>
      <c r="N44" s="35"/>
      <c r="O44" s="47"/>
      <c r="P44" s="50"/>
      <c r="Q44" s="50"/>
      <c r="R44" s="126"/>
    </row>
    <row r="45" spans="1:18" s="6" customFormat="1" ht="15.75" hidden="1">
      <c r="A45" s="8"/>
      <c r="B45" s="15"/>
      <c r="C45" s="207"/>
      <c r="D45" s="36"/>
      <c r="E45" s="36"/>
      <c r="F45" s="143"/>
      <c r="G45" s="43"/>
      <c r="H45" s="35"/>
      <c r="I45" s="50"/>
      <c r="J45" s="50"/>
      <c r="K45" s="50"/>
      <c r="L45" s="50"/>
      <c r="M45" s="35"/>
      <c r="N45" s="35"/>
      <c r="O45" s="47"/>
      <c r="P45" s="50"/>
      <c r="Q45" s="50"/>
      <c r="R45" s="126"/>
    </row>
    <row r="46" spans="1:18" s="6" customFormat="1" ht="15.75" hidden="1">
      <c r="A46" s="8"/>
      <c r="B46" s="15"/>
      <c r="C46" s="207"/>
      <c r="D46" s="36"/>
      <c r="E46" s="36"/>
      <c r="F46" s="143"/>
      <c r="G46" s="43"/>
      <c r="H46" s="35"/>
      <c r="I46" s="50"/>
      <c r="J46" s="50"/>
      <c r="K46" s="50"/>
      <c r="L46" s="50"/>
      <c r="M46" s="35"/>
      <c r="N46" s="35"/>
      <c r="O46" s="47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9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1524.48</v>
      </c>
      <c r="G48" s="43">
        <f t="shared" si="7"/>
        <v>-145.51999999999998</v>
      </c>
      <c r="H48" s="35">
        <f>F48/E48*100</f>
        <v>91.28622754491018</v>
      </c>
      <c r="I48" s="50">
        <f t="shared" si="8"/>
        <v>-2675.52</v>
      </c>
      <c r="J48" s="50">
        <f>F48/D48*100</f>
        <v>36.29714285714286</v>
      </c>
      <c r="K48" s="50">
        <f>F48-1238.46</f>
        <v>286.02</v>
      </c>
      <c r="L48" s="50">
        <f>F48/1238.46*100</f>
        <v>123.09481129790223</v>
      </c>
      <c r="M48" s="35">
        <f>E48-квітень!E72</f>
        <v>400</v>
      </c>
      <c r="N48" s="35">
        <f>F48-квітень!F72</f>
        <v>88.72000000000003</v>
      </c>
      <c r="O48" s="47">
        <f t="shared" si="9"/>
        <v>-311.28</v>
      </c>
      <c r="P48" s="50">
        <f aca="true" t="shared" si="10" ref="P48:P53">N48/M48*100</f>
        <v>22.180000000000007</v>
      </c>
      <c r="Q48" s="50">
        <f>N48-277.38</f>
        <v>-188.65999999999997</v>
      </c>
      <c r="R48" s="126">
        <f>N48/277.38</f>
        <v>0.31985002523613826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9"/>
        <v>0</v>
      </c>
      <c r="P49" s="50" t="e">
        <f t="shared" si="10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9"/>
        <v>0</v>
      </c>
      <c r="P50" s="50" t="e">
        <f t="shared" si="10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322.3</v>
      </c>
      <c r="G51" s="135">
        <f t="shared" si="7"/>
        <v>322.3</v>
      </c>
      <c r="H51" s="137"/>
      <c r="I51" s="136">
        <f t="shared" si="8"/>
        <v>322.3</v>
      </c>
      <c r="J51" s="136"/>
      <c r="K51" s="136">
        <f>F51-234.45</f>
        <v>87.85000000000002</v>
      </c>
      <c r="L51" s="138">
        <f>F51/234.45*100</f>
        <v>137.47067605033055</v>
      </c>
      <c r="M51" s="35">
        <f>E51-квітень!E75</f>
        <v>0</v>
      </c>
      <c r="N51" s="35">
        <f>F51-квітень!F75</f>
        <v>6.600000000000023</v>
      </c>
      <c r="O51" s="138">
        <f t="shared" si="9"/>
        <v>6.600000000000023</v>
      </c>
      <c r="P51" s="136"/>
      <c r="Q51" s="50">
        <f>N51-64.93</f>
        <v>-58.329999999999984</v>
      </c>
      <c r="R51" s="126">
        <f>N51/64.93</f>
        <v>0.10164792853842633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 t="shared" si="7"/>
        <v>-5</v>
      </c>
      <c r="H52" s="35"/>
      <c r="I52" s="50">
        <f t="shared" si="8"/>
        <v>-13</v>
      </c>
      <c r="J52" s="50"/>
      <c r="K52" s="50">
        <f>F52-13.19</f>
        <v>-13.19</v>
      </c>
      <c r="L52" s="50">
        <f>F52/13.19*100</f>
        <v>0</v>
      </c>
      <c r="M52" s="35">
        <f>E52-квітень!E76</f>
        <v>0</v>
      </c>
      <c r="N52" s="35">
        <f>F52-квітень!F76</f>
        <v>0</v>
      </c>
      <c r="O52" s="47">
        <f t="shared" si="9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F53-9.01</f>
        <v>-2.49</v>
      </c>
      <c r="L53" s="50">
        <f>F53/9.01*100</f>
        <v>72.36403995560488</v>
      </c>
      <c r="M53" s="35">
        <f>E53-квітень!E77</f>
        <v>2.1999999999999993</v>
      </c>
      <c r="N53" s="35">
        <f>F53-квітень!F77</f>
        <v>0</v>
      </c>
      <c r="O53" s="47">
        <f t="shared" si="9"/>
        <v>-2.1999999999999993</v>
      </c>
      <c r="P53" s="50">
        <f t="shared" si="10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9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214954.99</v>
      </c>
      <c r="G55" s="44">
        <f>F55-E55</f>
        <v>-13744.309999999998</v>
      </c>
      <c r="H55" s="45">
        <f>F55/E55*100</f>
        <v>93.99022646768049</v>
      </c>
      <c r="I55" s="31">
        <f>F55-D55</f>
        <v>-315067.61</v>
      </c>
      <c r="J55" s="31">
        <f>F55/D55*100</f>
        <v>40.555815921811636</v>
      </c>
      <c r="K55" s="31">
        <f>K8+K33+K53+K54</f>
        <v>59113.05000000002</v>
      </c>
      <c r="L55" s="31"/>
      <c r="M55" s="18">
        <f>M8+M33+M53+M54</f>
        <v>47207.47</v>
      </c>
      <c r="N55" s="18">
        <f>N8+N33+N53+N54</f>
        <v>5977.700000000021</v>
      </c>
      <c r="O55" s="49">
        <f>N55-M55</f>
        <v>-41229.76999999998</v>
      </c>
      <c r="P55" s="31">
        <f>N55/M55*100</f>
        <v>12.662614624338097</v>
      </c>
      <c r="Q55" s="31">
        <f>N55-34768</f>
        <v>-28790.29999999998</v>
      </c>
      <c r="R55" s="171">
        <f>N55/34768</f>
        <v>0.17193108605614418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6">
        <v>12020100</v>
      </c>
      <c r="D60" s="28"/>
      <c r="E60" s="28"/>
      <c r="F60" s="146">
        <v>8.75</v>
      </c>
      <c r="G60" s="43"/>
      <c r="H60" s="35"/>
      <c r="I60" s="53"/>
      <c r="J60" s="53"/>
      <c r="K60" s="53"/>
      <c r="L60" s="53"/>
      <c r="M60" s="36"/>
      <c r="N60" s="36">
        <f>F60-квітень!F84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-14.65</v>
      </c>
      <c r="G61" s="43">
        <f aca="true" t="shared" si="11" ref="G61:G68">F61-E61</f>
        <v>-14.65</v>
      </c>
      <c r="H61" s="35"/>
      <c r="I61" s="53">
        <f aca="true" t="shared" si="12" ref="I61:I68">F61-D61</f>
        <v>-14.65</v>
      </c>
      <c r="J61" s="53"/>
      <c r="K61" s="47">
        <f>F61-96.53</f>
        <v>-111.18</v>
      </c>
      <c r="L61" s="53"/>
      <c r="M61" s="35">
        <f>E61-березень!E87</f>
        <v>0</v>
      </c>
      <c r="N61" s="35">
        <f>F61-квітень!F85</f>
        <v>0</v>
      </c>
      <c r="O61" s="47">
        <f aca="true" t="shared" si="13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-5.9</v>
      </c>
      <c r="G62" s="55">
        <f t="shared" si="11"/>
        <v>-5.9</v>
      </c>
      <c r="H62" s="65"/>
      <c r="I62" s="54">
        <f t="shared" si="12"/>
        <v>-5.9</v>
      </c>
      <c r="J62" s="54"/>
      <c r="K62" s="54">
        <f>F62-(-111.2)</f>
        <v>105.3</v>
      </c>
      <c r="L62" s="54">
        <f>F62/223.32*100</f>
        <v>-2.6419487730610784</v>
      </c>
      <c r="M62" s="55">
        <f>M61</f>
        <v>0</v>
      </c>
      <c r="N62" s="33">
        <f>SUM(N60:N61)</f>
        <v>0</v>
      </c>
      <c r="O62" s="54">
        <f t="shared" si="13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1"/>
        <v>0</v>
      </c>
      <c r="H63" s="35" t="e">
        <f>F63/E63*100</f>
        <v>#DIV/0!</v>
      </c>
      <c r="I63" s="53">
        <f t="shared" si="12"/>
        <v>0</v>
      </c>
      <c r="J63" s="53" t="e">
        <f aca="true" t="shared" si="14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3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91.72</v>
      </c>
      <c r="G64" s="43">
        <f t="shared" si="11"/>
        <v>-308.28</v>
      </c>
      <c r="H64" s="35"/>
      <c r="I64" s="53">
        <f t="shared" si="12"/>
        <v>-2408.28</v>
      </c>
      <c r="J64" s="53">
        <f t="shared" si="14"/>
        <v>3.6688</v>
      </c>
      <c r="K64" s="53">
        <f>F64-1435</f>
        <v>-1343.28</v>
      </c>
      <c r="L64" s="53">
        <f>F64/1435*100</f>
        <v>6.3916376306620215</v>
      </c>
      <c r="M64" s="35">
        <f>E64-квітень!E88</f>
        <v>330</v>
      </c>
      <c r="N64" s="35">
        <f>F64-квітень!F88</f>
        <v>0</v>
      </c>
      <c r="O64" s="47">
        <f t="shared" si="13"/>
        <v>-330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1984.19</v>
      </c>
      <c r="G65" s="43">
        <f t="shared" si="11"/>
        <v>-79.4699999999998</v>
      </c>
      <c r="H65" s="35">
        <f>F65/E65*100</f>
        <v>96.14907494451607</v>
      </c>
      <c r="I65" s="53">
        <f t="shared" si="12"/>
        <v>-9591.81</v>
      </c>
      <c r="J65" s="53">
        <f t="shared" si="14"/>
        <v>17.140549412577748</v>
      </c>
      <c r="K65" s="53">
        <f>F65-1487.49</f>
        <v>496.70000000000005</v>
      </c>
      <c r="L65" s="53">
        <f>F65/1487.49*100</f>
        <v>133.39182112148654</v>
      </c>
      <c r="M65" s="35">
        <f>E65-квітень!E89</f>
        <v>564.6799999999998</v>
      </c>
      <c r="N65" s="35">
        <f>F65-квітень!F89</f>
        <v>46.13000000000011</v>
      </c>
      <c r="O65" s="47">
        <f t="shared" si="13"/>
        <v>-518.5499999999997</v>
      </c>
      <c r="P65" s="53">
        <f>N65/M65*100</f>
        <v>8.169228589643714</v>
      </c>
      <c r="Q65" s="53">
        <f>N65-450.01</f>
        <v>-403.8799999999999</v>
      </c>
      <c r="R65" s="129">
        <f>N65/450.01</f>
        <v>0.10250883313704165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79.56</v>
      </c>
      <c r="G66" s="43">
        <f t="shared" si="11"/>
        <v>-512.8399999999999</v>
      </c>
      <c r="H66" s="35">
        <f>F66/E66*100</f>
        <v>13.430114787305875</v>
      </c>
      <c r="I66" s="53">
        <f t="shared" si="12"/>
        <v>-2920.44</v>
      </c>
      <c r="J66" s="53">
        <f t="shared" si="14"/>
        <v>2.652</v>
      </c>
      <c r="K66" s="53">
        <f>F66-577.27</f>
        <v>-497.71</v>
      </c>
      <c r="L66" s="53">
        <f>F66/577.27*100</f>
        <v>13.782112356436329</v>
      </c>
      <c r="M66" s="35">
        <f>E66-квітень!E90</f>
        <v>148.09999999999997</v>
      </c>
      <c r="N66" s="35">
        <f>F66-квітень!F90</f>
        <v>45.42</v>
      </c>
      <c r="O66" s="47">
        <f t="shared" si="13"/>
        <v>-102.67999999999996</v>
      </c>
      <c r="P66" s="53">
        <f>N66/M66*100</f>
        <v>30.668467251856864</v>
      </c>
      <c r="Q66" s="53">
        <f>N66-1.05</f>
        <v>44.370000000000005</v>
      </c>
      <c r="R66" s="129">
        <f>N66/1.05</f>
        <v>43.25714285714286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2155.47</v>
      </c>
      <c r="G67" s="55">
        <f t="shared" si="11"/>
        <v>-900.5900000000001</v>
      </c>
      <c r="H67" s="65">
        <f>F67/E67*100</f>
        <v>70.53101051680922</v>
      </c>
      <c r="I67" s="54">
        <f t="shared" si="12"/>
        <v>-14920.53</v>
      </c>
      <c r="J67" s="54">
        <f t="shared" si="14"/>
        <v>12.622803935347857</v>
      </c>
      <c r="K67" s="54">
        <f>F67-3499.76</f>
        <v>-1344.2900000000004</v>
      </c>
      <c r="L67" s="54">
        <f>F67/3499.96*100</f>
        <v>61.585560977839734</v>
      </c>
      <c r="M67" s="55">
        <f>M64+M65+M66</f>
        <v>1042.7799999999997</v>
      </c>
      <c r="N67" s="55">
        <f>N64+N65+N66</f>
        <v>91.55000000000011</v>
      </c>
      <c r="O67" s="54">
        <f t="shared" si="13"/>
        <v>-951.2299999999997</v>
      </c>
      <c r="P67" s="54">
        <f>N67/M67*100</f>
        <v>8.779416559581133</v>
      </c>
      <c r="Q67" s="54">
        <f>N67-7985.28</f>
        <v>-7893.73</v>
      </c>
      <c r="R67" s="173">
        <f>N67/7985.28</f>
        <v>0.011464845315380313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1"/>
        <v>-11</v>
      </c>
      <c r="H68" s="35"/>
      <c r="I68" s="53">
        <f t="shared" si="12"/>
        <v>-35</v>
      </c>
      <c r="J68" s="53">
        <f t="shared" si="14"/>
        <v>0</v>
      </c>
      <c r="K68" s="53">
        <f>F68-9.65</f>
        <v>-9.65</v>
      </c>
      <c r="L68" s="53">
        <f>F68/9.65*100</f>
        <v>0</v>
      </c>
      <c r="M68" s="35">
        <f>E68-квітень!E92</f>
        <v>2</v>
      </c>
      <c r="N68" s="35">
        <f>F68-квітень!F92</f>
        <v>0</v>
      </c>
      <c r="O68" s="47">
        <f t="shared" si="13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</v>
      </c>
      <c r="G70" s="43">
        <f>F70-E70</f>
        <v>0.7</v>
      </c>
      <c r="H70" s="35"/>
      <c r="I70" s="53">
        <f>F70-D70</f>
        <v>0.7</v>
      </c>
      <c r="J70" s="53"/>
      <c r="K70" s="53">
        <f>F70-(-0.27)</f>
        <v>0.97</v>
      </c>
      <c r="L70" s="53">
        <f>F70/(-0.27)*100</f>
        <v>-259.25925925925924</v>
      </c>
      <c r="M70" s="35">
        <f>E70-квітень!E95</f>
        <v>0</v>
      </c>
      <c r="N70" s="35">
        <f>F70-квітень!F95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0.7</v>
      </c>
      <c r="G71" s="55">
        <f>F71-E71</f>
        <v>-20.3</v>
      </c>
      <c r="H71" s="65"/>
      <c r="I71" s="54">
        <f>F71-D71</f>
        <v>-53.3</v>
      </c>
      <c r="J71" s="54">
        <f>F71/D71*100</f>
        <v>1.2962962962962963</v>
      </c>
      <c r="K71" s="54">
        <f>F71-27.14</f>
        <v>-26.44</v>
      </c>
      <c r="L71" s="54">
        <f>F71/27.14*100</f>
        <v>2.5792188651436994</v>
      </c>
      <c r="M71" s="55">
        <f>M68+M70+M69</f>
        <v>2</v>
      </c>
      <c r="N71" s="55">
        <f>N68+N70+N69</f>
        <v>0</v>
      </c>
      <c r="O71" s="54">
        <f>N71-M71</f>
        <v>-2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13.38</v>
      </c>
      <c r="G72" s="43">
        <f>F72-E72</f>
        <v>-0.40999999999999837</v>
      </c>
      <c r="H72" s="35">
        <f>F72/E72*100</f>
        <v>97.02683103698332</v>
      </c>
      <c r="I72" s="53">
        <f>F72-D72</f>
        <v>-28.619999999999997</v>
      </c>
      <c r="J72" s="53">
        <f>F72/D72*100</f>
        <v>31.85714285714286</v>
      </c>
      <c r="K72" s="53">
        <f>F72-12.19</f>
        <v>1.1900000000000013</v>
      </c>
      <c r="L72" s="53">
        <f>F72/12.19*100</f>
        <v>109.76210008203446</v>
      </c>
      <c r="M72" s="35">
        <f>E72-квітень!E97</f>
        <v>1</v>
      </c>
      <c r="N72" s="35">
        <f>F72-квітень!F97</f>
        <v>0</v>
      </c>
      <c r="O72" s="47">
        <f>N72-M72</f>
        <v>-1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258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2163.8499999999995</v>
      </c>
      <c r="G74" s="44">
        <f>F74-E74</f>
        <v>-927.0000000000005</v>
      </c>
      <c r="H74" s="45">
        <f>F74/E74*100</f>
        <v>70.00825015772358</v>
      </c>
      <c r="I74" s="31">
        <f>F74-D74</f>
        <v>-15008.150000000001</v>
      </c>
      <c r="J74" s="31">
        <f>F74/D74*100</f>
        <v>12.601036571162355</v>
      </c>
      <c r="K74" s="31">
        <f>K62+K67+K71+K72</f>
        <v>-1264.2400000000005</v>
      </c>
      <c r="L74" s="31"/>
      <c r="M74" s="27">
        <f>M62+M72+M67+M71</f>
        <v>1045.7799999999997</v>
      </c>
      <c r="N74" s="27">
        <f>N62+N72+N67+N71+N73</f>
        <v>91.55000000000011</v>
      </c>
      <c r="O74" s="31">
        <f>N74-M74</f>
        <v>-954.2299999999997</v>
      </c>
      <c r="P74" s="31">
        <f>N74/M74*100</f>
        <v>8.754231291476232</v>
      </c>
      <c r="Q74" s="31">
        <f>N74-8104.96</f>
        <v>-8013.41</v>
      </c>
      <c r="R74" s="127">
        <f>N74/8104.96</f>
        <v>0.011295552353126988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217118.84</v>
      </c>
      <c r="G75" s="44">
        <f>F75-E75</f>
        <v>-14671.309999999998</v>
      </c>
      <c r="H75" s="45">
        <f>F75/E75*100</f>
        <v>93.67043422682111</v>
      </c>
      <c r="I75" s="31">
        <f>F75-D75</f>
        <v>-330075.76</v>
      </c>
      <c r="J75" s="31">
        <f>F75/D75*100</f>
        <v>39.678542149356005</v>
      </c>
      <c r="K75" s="31">
        <f>K55+K74</f>
        <v>57848.81000000002</v>
      </c>
      <c r="L75" s="31"/>
      <c r="M75" s="18">
        <f>M55+M74</f>
        <v>48253.25</v>
      </c>
      <c r="N75" s="18">
        <f>N55+N74</f>
        <v>6069.250000000021</v>
      </c>
      <c r="O75" s="31">
        <f>N75-M75</f>
        <v>-42183.99999999998</v>
      </c>
      <c r="P75" s="31">
        <f>N75/M75*100</f>
        <v>12.577909259998075</v>
      </c>
      <c r="Q75" s="31">
        <f>N75-42872.96</f>
        <v>-36803.70999999998</v>
      </c>
      <c r="R75" s="127">
        <f>N75/42872.96</f>
        <v>0.14156358693218338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16</v>
      </c>
      <c r="D77" s="4" t="s">
        <v>118</v>
      </c>
    </row>
    <row r="78" spans="2:17" ht="31.5">
      <c r="B78" s="71" t="s">
        <v>154</v>
      </c>
      <c r="C78" s="34">
        <f>IF(O55&lt;0,ABS(O55/C77),0)</f>
        <v>2576.860624999999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42130</v>
      </c>
      <c r="D79" s="34">
        <v>3535.4</v>
      </c>
      <c r="N79" s="185"/>
      <c r="O79" s="185"/>
    </row>
    <row r="80" spans="3:15" ht="15.75">
      <c r="C80" s="111">
        <v>42129</v>
      </c>
      <c r="D80" s="34">
        <v>2442.3</v>
      </c>
      <c r="F80" s="155" t="s">
        <v>166</v>
      </c>
      <c r="G80" s="208"/>
      <c r="H80" s="208"/>
      <c r="I80" s="177"/>
      <c r="J80" s="186"/>
      <c r="K80" s="186"/>
      <c r="L80" s="186"/>
      <c r="M80" s="186"/>
      <c r="N80" s="185"/>
      <c r="O80" s="185"/>
    </row>
    <row r="81" spans="3:15" ht="15.75" customHeight="1">
      <c r="C81" s="111">
        <v>42124</v>
      </c>
      <c r="D81" s="34">
        <v>7056.9</v>
      </c>
      <c r="G81" s="214" t="s">
        <v>151</v>
      </c>
      <c r="H81" s="214"/>
      <c r="I81" s="106">
        <v>8909.73221</v>
      </c>
      <c r="J81" s="187"/>
      <c r="K81" s="187"/>
      <c r="L81" s="187"/>
      <c r="M81" s="187"/>
      <c r="N81" s="185"/>
      <c r="O81" s="185"/>
    </row>
    <row r="82" spans="7:13" ht="15.75" customHeight="1">
      <c r="G82" s="215" t="s">
        <v>234</v>
      </c>
      <c r="H82" s="216"/>
      <c r="I82" s="103">
        <v>1.188</v>
      </c>
      <c r="J82" s="186"/>
      <c r="K82" s="186"/>
      <c r="L82" s="186"/>
      <c r="M82" s="186"/>
    </row>
    <row r="83" spans="2:13" ht="18.75" customHeight="1">
      <c r="B83" s="212" t="s">
        <v>160</v>
      </c>
      <c r="C83" s="213"/>
      <c r="D83" s="108">
        <v>154948.80062999998</v>
      </c>
      <c r="E83" s="73"/>
      <c r="F83" s="156" t="s">
        <v>147</v>
      </c>
      <c r="G83" s="214" t="s">
        <v>149</v>
      </c>
      <c r="H83" s="214"/>
      <c r="I83" s="107">
        <v>146037.88042</v>
      </c>
      <c r="J83" s="186"/>
      <c r="K83" s="186"/>
      <c r="L83" s="186"/>
      <c r="M83" s="186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2" sqref="B1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259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88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240</v>
      </c>
      <c r="N3" s="244" t="s">
        <v>241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237</v>
      </c>
      <c r="F4" s="247" t="s">
        <v>116</v>
      </c>
      <c r="G4" s="229" t="s">
        <v>238</v>
      </c>
      <c r="H4" s="231" t="s">
        <v>239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260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48"/>
      <c r="G5" s="230"/>
      <c r="H5" s="232"/>
      <c r="I5" s="225"/>
      <c r="J5" s="221"/>
      <c r="K5" s="217" t="s">
        <v>242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9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90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91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92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3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3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3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3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3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92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92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92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92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92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92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92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92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92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92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92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92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92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3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3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92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92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92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4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5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5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3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3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3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4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4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4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3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3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3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3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4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92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6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92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92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92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90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7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8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92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92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92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92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92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92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92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92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92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92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92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92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92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92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92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92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92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92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92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3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92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92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92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90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31"/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9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9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200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201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201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201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202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201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201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201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201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202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201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201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201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201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202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201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201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3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31"/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3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31"/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19"/>
      <c r="H103" s="219"/>
      <c r="I103" s="219"/>
      <c r="J103" s="21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185"/>
      <c r="O104" s="185"/>
    </row>
    <row r="105" spans="3:15" ht="15.75">
      <c r="C105" s="111">
        <v>42123</v>
      </c>
      <c r="D105" s="34">
        <v>7959.6</v>
      </c>
      <c r="F105" s="204" t="s">
        <v>166</v>
      </c>
      <c r="G105" s="208"/>
      <c r="H105" s="208"/>
      <c r="I105" s="177"/>
      <c r="J105" s="186"/>
      <c r="K105" s="186"/>
      <c r="L105" s="186"/>
      <c r="M105" s="186"/>
      <c r="N105" s="185"/>
      <c r="O105" s="185"/>
    </row>
    <row r="106" spans="3:15" ht="15.75" customHeight="1">
      <c r="C106" s="111">
        <v>42122</v>
      </c>
      <c r="D106" s="34">
        <v>4962.7</v>
      </c>
      <c r="G106" s="214" t="s">
        <v>151</v>
      </c>
      <c r="H106" s="214"/>
      <c r="I106" s="106">
        <v>8909.73221</v>
      </c>
      <c r="J106" s="187"/>
      <c r="K106" s="187"/>
      <c r="L106" s="187"/>
      <c r="M106" s="187"/>
      <c r="N106" s="185"/>
      <c r="O106" s="185"/>
    </row>
    <row r="107" spans="7:13" ht="15.75" customHeight="1">
      <c r="G107" s="215" t="s">
        <v>234</v>
      </c>
      <c r="H107" s="216"/>
      <c r="I107" s="103">
        <v>0</v>
      </c>
      <c r="J107" s="186"/>
      <c r="K107" s="186"/>
      <c r="L107" s="186"/>
      <c r="M107" s="186"/>
    </row>
    <row r="108" spans="2:13" ht="18.75" customHeight="1">
      <c r="B108" s="212" t="s">
        <v>160</v>
      </c>
      <c r="C108" s="213"/>
      <c r="D108" s="108">
        <v>154856.06924</v>
      </c>
      <c r="E108" s="73"/>
      <c r="F108" s="205" t="s">
        <v>147</v>
      </c>
      <c r="G108" s="214" t="s">
        <v>149</v>
      </c>
      <c r="H108" s="214"/>
      <c r="I108" s="107">
        <v>145946.33703</v>
      </c>
      <c r="J108" s="186"/>
      <c r="K108" s="186"/>
      <c r="L108" s="186"/>
      <c r="M108" s="186"/>
    </row>
    <row r="109" spans="7:12" ht="9.75" customHeight="1">
      <c r="G109" s="208"/>
      <c r="H109" s="208"/>
      <c r="I109" s="90"/>
      <c r="J109" s="91"/>
      <c r="K109" s="91"/>
      <c r="L109" s="91"/>
    </row>
    <row r="110" spans="2:12" ht="22.5" customHeight="1" hidden="1">
      <c r="B110" s="209" t="s">
        <v>167</v>
      </c>
      <c r="C110" s="210"/>
      <c r="D110" s="110">
        <v>0</v>
      </c>
      <c r="E110" s="70" t="s">
        <v>104</v>
      </c>
      <c r="G110" s="208"/>
      <c r="H110" s="208"/>
      <c r="I110" s="90"/>
      <c r="J110" s="91"/>
      <c r="K110" s="91"/>
      <c r="L110" s="91"/>
    </row>
    <row r="111" spans="4:15" ht="15.75">
      <c r="D111" s="105"/>
      <c r="N111" s="208"/>
      <c r="O111" s="208"/>
    </row>
    <row r="112" spans="4:15" ht="15.75">
      <c r="D112" s="104"/>
      <c r="I112" s="34"/>
      <c r="N112" s="211"/>
      <c r="O112" s="211"/>
    </row>
    <row r="113" spans="14:15" ht="15.75">
      <c r="N113" s="208"/>
      <c r="O113" s="20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231</v>
      </c>
      <c r="N3" s="244" t="s">
        <v>232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228</v>
      </c>
      <c r="F4" s="227" t="s">
        <v>116</v>
      </c>
      <c r="G4" s="229" t="s">
        <v>229</v>
      </c>
      <c r="H4" s="231" t="s">
        <v>230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236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233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185"/>
      <c r="O105" s="185"/>
    </row>
    <row r="106" spans="3:15" ht="15.75">
      <c r="C106" s="111">
        <v>42093</v>
      </c>
      <c r="D106" s="34">
        <v>8025</v>
      </c>
      <c r="F106" s="155" t="s">
        <v>166</v>
      </c>
      <c r="G106" s="208"/>
      <c r="H106" s="208"/>
      <c r="I106" s="177"/>
      <c r="J106" s="186"/>
      <c r="K106" s="186"/>
      <c r="L106" s="186"/>
      <c r="M106" s="186"/>
      <c r="N106" s="185"/>
      <c r="O106" s="185"/>
    </row>
    <row r="107" spans="3:15" ht="15.75" customHeight="1">
      <c r="C107" s="111">
        <v>42090</v>
      </c>
      <c r="D107" s="34">
        <v>4282.6</v>
      </c>
      <c r="G107" s="214" t="s">
        <v>151</v>
      </c>
      <c r="H107" s="214"/>
      <c r="I107" s="106">
        <f>8909732.21/1000</f>
        <v>8909.73221</v>
      </c>
      <c r="J107" s="187"/>
      <c r="K107" s="187"/>
      <c r="L107" s="187"/>
      <c r="M107" s="187"/>
      <c r="N107" s="185"/>
      <c r="O107" s="185"/>
    </row>
    <row r="108" spans="7:13" ht="15.75" customHeight="1">
      <c r="G108" s="215" t="s">
        <v>234</v>
      </c>
      <c r="H108" s="216"/>
      <c r="I108" s="103">
        <v>0</v>
      </c>
      <c r="J108" s="186"/>
      <c r="K108" s="186"/>
      <c r="L108" s="186"/>
      <c r="M108" s="186"/>
    </row>
    <row r="109" spans="2:13" ht="18.75" customHeight="1">
      <c r="B109" s="212" t="s">
        <v>160</v>
      </c>
      <c r="C109" s="213"/>
      <c r="D109" s="108">
        <f>147433239.77/1000</f>
        <v>147433.23977000001</v>
      </c>
      <c r="E109" s="73"/>
      <c r="F109" s="156" t="s">
        <v>147</v>
      </c>
      <c r="G109" s="214" t="s">
        <v>149</v>
      </c>
      <c r="H109" s="214"/>
      <c r="I109" s="107">
        <f>138523507.56/1000</f>
        <v>138523.50756</v>
      </c>
      <c r="J109" s="186"/>
      <c r="K109" s="186"/>
      <c r="L109" s="186"/>
      <c r="M109" s="186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221</v>
      </c>
      <c r="N3" s="244" t="s">
        <v>202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199</v>
      </c>
      <c r="F4" s="227" t="s">
        <v>116</v>
      </c>
      <c r="G4" s="229" t="s">
        <v>200</v>
      </c>
      <c r="H4" s="231" t="s">
        <v>201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226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224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85"/>
      <c r="O105" s="185"/>
    </row>
    <row r="106" spans="3:15" ht="15.75">
      <c r="C106" s="111">
        <v>42061</v>
      </c>
      <c r="D106" s="34">
        <v>6003.3</v>
      </c>
      <c r="F106" s="155" t="s">
        <v>166</v>
      </c>
      <c r="G106" s="208"/>
      <c r="H106" s="208"/>
      <c r="I106" s="177"/>
      <c r="J106" s="186"/>
      <c r="K106" s="186"/>
      <c r="L106" s="186"/>
      <c r="M106" s="186"/>
      <c r="N106" s="185"/>
      <c r="O106" s="185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187"/>
      <c r="K107" s="187"/>
      <c r="L107" s="187"/>
      <c r="M107" s="187"/>
      <c r="N107" s="185"/>
      <c r="O107" s="185"/>
    </row>
    <row r="108" spans="7:13" ht="15.75" customHeight="1">
      <c r="G108" s="249" t="s">
        <v>155</v>
      </c>
      <c r="H108" s="249"/>
      <c r="I108" s="103">
        <v>0</v>
      </c>
      <c r="J108" s="186"/>
      <c r="K108" s="186"/>
      <c r="L108" s="186"/>
      <c r="M108" s="186"/>
    </row>
    <row r="109" spans="2:13" ht="18.75" customHeight="1">
      <c r="B109" s="212" t="s">
        <v>160</v>
      </c>
      <c r="C109" s="213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186"/>
      <c r="K109" s="186"/>
      <c r="L109" s="186"/>
      <c r="M109" s="186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220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219</v>
      </c>
      <c r="F4" s="227" t="s">
        <v>116</v>
      </c>
      <c r="G4" s="229" t="s">
        <v>173</v>
      </c>
      <c r="H4" s="256" t="s">
        <v>174</v>
      </c>
      <c r="I4" s="254" t="s">
        <v>217</v>
      </c>
      <c r="J4" s="252" t="s">
        <v>218</v>
      </c>
      <c r="K4" s="116" t="s">
        <v>172</v>
      </c>
      <c r="L4" s="121" t="s">
        <v>171</v>
      </c>
      <c r="M4" s="220"/>
      <c r="N4" s="222" t="s">
        <v>194</v>
      </c>
      <c r="O4" s="254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7"/>
      <c r="I5" s="255"/>
      <c r="J5" s="253"/>
      <c r="K5" s="217" t="s">
        <v>188</v>
      </c>
      <c r="L5" s="218"/>
      <c r="M5" s="221"/>
      <c r="N5" s="223"/>
      <c r="O5" s="255"/>
      <c r="P5" s="244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19"/>
      <c r="H102" s="219"/>
      <c r="I102" s="219"/>
      <c r="J102" s="21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85"/>
      <c r="O103" s="185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50" t="s">
        <v>161</v>
      </c>
      <c r="K104" s="250"/>
      <c r="L104" s="250"/>
      <c r="M104" s="250"/>
      <c r="N104" s="185"/>
      <c r="O104" s="185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1" t="s">
        <v>162</v>
      </c>
      <c r="K105" s="251"/>
      <c r="L105" s="251"/>
      <c r="M105" s="251"/>
      <c r="N105" s="185"/>
      <c r="O105" s="185"/>
    </row>
    <row r="106" spans="7:13" ht="15.75" customHeight="1">
      <c r="G106" s="214" t="s">
        <v>148</v>
      </c>
      <c r="H106" s="214"/>
      <c r="I106" s="103">
        <f>'січень '!I141</f>
        <v>0</v>
      </c>
      <c r="J106" s="250" t="s">
        <v>163</v>
      </c>
      <c r="K106" s="250"/>
      <c r="L106" s="250"/>
      <c r="M106" s="250"/>
    </row>
    <row r="107" spans="2:13" ht="18.75" customHeight="1">
      <c r="B107" s="212" t="s">
        <v>160</v>
      </c>
      <c r="C107" s="213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50" t="s">
        <v>164</v>
      </c>
      <c r="K107" s="250"/>
      <c r="L107" s="250"/>
      <c r="M107" s="250"/>
    </row>
    <row r="108" spans="7:12" ht="9.75" customHeight="1">
      <c r="G108" s="208"/>
      <c r="H108" s="208"/>
      <c r="I108" s="90"/>
      <c r="J108" s="91"/>
      <c r="K108" s="91"/>
      <c r="L108" s="91"/>
    </row>
    <row r="109" spans="2:12" ht="22.5" customHeight="1" hidden="1">
      <c r="B109" s="209" t="s">
        <v>167</v>
      </c>
      <c r="C109" s="210"/>
      <c r="D109" s="110">
        <v>0</v>
      </c>
      <c r="E109" s="70" t="s">
        <v>104</v>
      </c>
      <c r="G109" s="208"/>
      <c r="H109" s="208"/>
      <c r="I109" s="90"/>
      <c r="J109" s="91"/>
      <c r="K109" s="91"/>
      <c r="L109" s="91"/>
    </row>
    <row r="110" spans="4:15" ht="15.75">
      <c r="D110" s="105"/>
      <c r="N110" s="208"/>
      <c r="O110" s="208"/>
    </row>
    <row r="111" spans="4:15" ht="15.75">
      <c r="D111" s="104"/>
      <c r="I111" s="34"/>
      <c r="N111" s="211"/>
      <c r="O111" s="211"/>
    </row>
    <row r="112" spans="14:15" ht="15.75">
      <c r="N112" s="208"/>
      <c r="O112" s="20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203</v>
      </c>
      <c r="C3" s="238" t="s">
        <v>0</v>
      </c>
      <c r="D3" s="239" t="s">
        <v>190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187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153</v>
      </c>
      <c r="F4" s="227" t="s">
        <v>116</v>
      </c>
      <c r="G4" s="229" t="s">
        <v>173</v>
      </c>
      <c r="H4" s="256" t="s">
        <v>174</v>
      </c>
      <c r="I4" s="254" t="s">
        <v>186</v>
      </c>
      <c r="J4" s="252" t="s">
        <v>189</v>
      </c>
      <c r="K4" s="116" t="s">
        <v>172</v>
      </c>
      <c r="L4" s="121" t="s">
        <v>171</v>
      </c>
      <c r="M4" s="220"/>
      <c r="N4" s="222" t="s">
        <v>194</v>
      </c>
      <c r="O4" s="254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7"/>
      <c r="I5" s="255"/>
      <c r="J5" s="253"/>
      <c r="K5" s="217" t="s">
        <v>188</v>
      </c>
      <c r="L5" s="218"/>
      <c r="M5" s="221"/>
      <c r="N5" s="223"/>
      <c r="O5" s="255"/>
      <c r="P5" s="244"/>
      <c r="Q5" s="217" t="s">
        <v>176</v>
      </c>
      <c r="R5" s="21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19"/>
      <c r="H137" s="219"/>
      <c r="I137" s="219"/>
      <c r="J137" s="21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85"/>
      <c r="O138" s="185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50" t="s">
        <v>161</v>
      </c>
      <c r="K139" s="250"/>
      <c r="L139" s="250"/>
      <c r="M139" s="250"/>
      <c r="N139" s="185"/>
      <c r="O139" s="185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1" t="s">
        <v>162</v>
      </c>
      <c r="K140" s="251"/>
      <c r="L140" s="251"/>
      <c r="M140" s="251"/>
      <c r="N140" s="185"/>
      <c r="O140" s="185"/>
    </row>
    <row r="141" spans="7:13" ht="15.75" customHeight="1">
      <c r="G141" s="214" t="s">
        <v>148</v>
      </c>
      <c r="H141" s="214"/>
      <c r="I141" s="103">
        <v>0</v>
      </c>
      <c r="J141" s="250" t="s">
        <v>163</v>
      </c>
      <c r="K141" s="250"/>
      <c r="L141" s="250"/>
      <c r="M141" s="250"/>
    </row>
    <row r="142" spans="2:13" ht="18.75" customHeight="1">
      <c r="B142" s="212" t="s">
        <v>160</v>
      </c>
      <c r="C142" s="213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50" t="s">
        <v>164</v>
      </c>
      <c r="K142" s="250"/>
      <c r="L142" s="250"/>
      <c r="M142" s="250"/>
    </row>
    <row r="143" spans="7:12" ht="9.75" customHeight="1">
      <c r="G143" s="208"/>
      <c r="H143" s="208"/>
      <c r="I143" s="90"/>
      <c r="J143" s="91"/>
      <c r="K143" s="91"/>
      <c r="L143" s="91"/>
    </row>
    <row r="144" spans="2:12" ht="22.5" customHeight="1" hidden="1">
      <c r="B144" s="209" t="s">
        <v>167</v>
      </c>
      <c r="C144" s="210"/>
      <c r="D144" s="110">
        <v>0</v>
      </c>
      <c r="E144" s="70" t="s">
        <v>104</v>
      </c>
      <c r="G144" s="208"/>
      <c r="H144" s="208"/>
      <c r="I144" s="90"/>
      <c r="J144" s="91"/>
      <c r="K144" s="91"/>
      <c r="L144" s="91"/>
    </row>
    <row r="145" spans="4:15" ht="15.75">
      <c r="D145" s="105"/>
      <c r="N145" s="208"/>
      <c r="O145" s="208"/>
    </row>
    <row r="146" spans="4:15" ht="15.75">
      <c r="D146" s="104"/>
      <c r="I146" s="34"/>
      <c r="N146" s="211"/>
      <c r="O146" s="211"/>
    </row>
    <row r="147" spans="14:15" ht="15.75">
      <c r="N147" s="208"/>
      <c r="O147" s="20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2015-05-06T13:23:17Z</cp:lastPrinted>
  <dcterms:created xsi:type="dcterms:W3CDTF">2003-07-28T11:27:56Z</dcterms:created>
  <dcterms:modified xsi:type="dcterms:W3CDTF">2015-05-07T13:37:03Z</dcterms:modified>
  <cp:category/>
  <cp:version/>
  <cp:contentType/>
  <cp:contentStatus/>
</cp:coreProperties>
</file>